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 -TRABALHOS\1 - Licitações\1 - PREGAO\2025\013-25 - Transporte Escolar II\"/>
    </mc:Choice>
  </mc:AlternateContent>
  <xr:revisionPtr revIDLastSave="0" documentId="8_{718256E6-66B6-4F56-A153-5664C9622535}" xr6:coauthVersionLast="47" xr6:coauthVersionMax="47" xr10:uidLastSave="{00000000-0000-0000-0000-000000000000}"/>
  <bookViews>
    <workbookView xWindow="-120" yWindow="-120" windowWidth="29040" windowHeight="15720" xr2:uid="{A8047112-C365-4585-9E8F-286C03BE38B9}"/>
  </bookViews>
  <sheets>
    <sheet name="ANÁLISE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 s="1"/>
  <c r="J23" i="1" s="1"/>
  <c r="D23" i="1"/>
  <c r="C23" i="1"/>
  <c r="B23" i="1"/>
  <c r="O22" i="1"/>
  <c r="M22" i="1"/>
  <c r="O21" i="1"/>
  <c r="M21" i="1"/>
  <c r="O20" i="1"/>
  <c r="M20" i="1"/>
  <c r="O19" i="1"/>
  <c r="M19" i="1"/>
  <c r="O18" i="1"/>
  <c r="M18" i="1"/>
  <c r="O17" i="1"/>
  <c r="M17" i="1"/>
  <c r="G16" i="1"/>
  <c r="F16" i="1"/>
  <c r="J16" i="1" s="1"/>
  <c r="E16" i="1"/>
  <c r="D16" i="1"/>
  <c r="C16" i="1"/>
  <c r="B16" i="1"/>
  <c r="O15" i="1"/>
  <c r="M15" i="1"/>
  <c r="O14" i="1"/>
  <c r="M14" i="1"/>
  <c r="O13" i="1"/>
  <c r="M13" i="1"/>
  <c r="O12" i="1"/>
  <c r="M12" i="1"/>
  <c r="O11" i="1"/>
  <c r="M11" i="1"/>
  <c r="O10" i="1"/>
  <c r="M10" i="1"/>
  <c r="G9" i="1"/>
  <c r="F9" i="1"/>
  <c r="J9" i="1" s="1"/>
  <c r="E9" i="1"/>
  <c r="D9" i="1"/>
  <c r="C9" i="1"/>
  <c r="B9" i="1"/>
  <c r="O8" i="1"/>
  <c r="M8" i="1"/>
  <c r="L23" i="1" l="1"/>
  <c r="K23" i="1"/>
  <c r="I23" i="1"/>
  <c r="K25" i="1"/>
  <c r="L9" i="1"/>
  <c r="K9" i="1"/>
  <c r="I9" i="1"/>
  <c r="L16" i="1"/>
  <c r="K16" i="1"/>
  <c r="I16" i="1"/>
  <c r="O23" i="1" l="1"/>
  <c r="M23" i="1"/>
  <c r="O16" i="1"/>
  <c r="M16" i="1"/>
  <c r="L24" i="1"/>
  <c r="K26" i="1" s="1"/>
  <c r="O9" i="1"/>
  <c r="M9" i="1"/>
  <c r="M24" i="1" l="1"/>
</calcChain>
</file>

<file path=xl/sharedStrings.xml><?xml version="1.0" encoding="utf-8"?>
<sst xmlns="http://schemas.openxmlformats.org/spreadsheetml/2006/main" count="17" uniqueCount="17">
  <si>
    <t>ANÁLISE GERAL (Custos e preço dos trajetos  *valores mensais)</t>
  </si>
  <si>
    <t>DIAS COM TRANSPORTE POR MÊS</t>
  </si>
  <si>
    <t>ITEM</t>
  </si>
  <si>
    <t>TRAJETO</t>
  </si>
  <si>
    <t>Fixos*</t>
  </si>
  <si>
    <t>Comb.*</t>
  </si>
  <si>
    <t>Manut.*</t>
  </si>
  <si>
    <t>TOTAL*</t>
  </si>
  <si>
    <t>Imp.</t>
  </si>
  <si>
    <t>% Lucro</t>
  </si>
  <si>
    <t>R$ Lucro*</t>
  </si>
  <si>
    <t>R$ Trajeto*</t>
  </si>
  <si>
    <t>R$ Km</t>
  </si>
  <si>
    <t>R$ Viagem *</t>
  </si>
  <si>
    <t xml:space="preserve">Valor Total 210 dias </t>
  </si>
  <si>
    <t>DESPESA MENSAL COM TRANSPORTE ESCOLAR</t>
  </si>
  <si>
    <t>DESPESA COM TRASPORTE ESCOLAR PREVISÃO DE DIAS LETIVOS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</si>
</sst>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.0000_);_(* \(#,##0.0000\);_(* &quot;-&quot;??_);_(@_)"/>
  </numFmts>
  <fonts count="14" x14ac:knownFonts="1">
    <font>
      <sz val="10"/>
      <name val="Arial"/>
    </font>
    <font>
      <sz val="10"/>
      <name val="Arial"/>
    </font>
    <font>
      <b/>
      <sz val="16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9"/>
      <color indexed="1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u val="singleAccounting"/>
      <sz val="10"/>
      <name val="Arial"/>
      <family val="2"/>
    </font>
    <font>
      <sz val="10"/>
      <color rgb="FF00325B"/>
      <name val="Arial"/>
      <family val="2"/>
    </font>
    <font>
      <b/>
      <u val="singleAccounting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164" fontId="6" fillId="0" borderId="4" xfId="1" applyFont="1" applyFill="1" applyBorder="1" applyAlignment="1">
      <alignment horizontal="right"/>
    </xf>
    <xf numFmtId="164" fontId="6" fillId="0" borderId="4" xfId="1" applyFont="1" applyFill="1" applyBorder="1" applyAlignment="1"/>
    <xf numFmtId="164" fontId="6" fillId="0" borderId="4" xfId="1" applyFont="1" applyFill="1" applyBorder="1"/>
    <xf numFmtId="164" fontId="7" fillId="0" borderId="4" xfId="1" applyFont="1" applyFill="1" applyBorder="1" applyAlignment="1">
      <alignment horizontal="right"/>
    </xf>
    <xf numFmtId="165" fontId="6" fillId="0" borderId="4" xfId="1" applyNumberFormat="1" applyFont="1" applyFill="1" applyBorder="1"/>
    <xf numFmtId="43" fontId="4" fillId="2" borderId="0" xfId="0" applyNumberFormat="1" applyFont="1" applyFill="1"/>
    <xf numFmtId="43" fontId="4" fillId="0" borderId="4" xfId="0" applyNumberFormat="1" applyFont="1" applyBorder="1"/>
    <xf numFmtId="0" fontId="5" fillId="0" borderId="4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4" fontId="4" fillId="0" borderId="0" xfId="1" applyFont="1" applyBorder="1" applyAlignment="1">
      <alignment horizontal="right"/>
    </xf>
    <xf numFmtId="164" fontId="5" fillId="0" borderId="0" xfId="1" applyFont="1" applyBorder="1" applyAlignment="1">
      <alignment horizontal="right"/>
    </xf>
    <xf numFmtId="164" fontId="5" fillId="0" borderId="0" xfId="1" applyFont="1" applyBorder="1" applyAlignment="1"/>
    <xf numFmtId="164" fontId="5" fillId="0" borderId="0" xfId="1" applyFont="1" applyBorder="1"/>
    <xf numFmtId="164" fontId="8" fillId="0" borderId="0" xfId="1" applyFont="1" applyFill="1" applyBorder="1" applyAlignment="1">
      <alignment horizontal="right"/>
    </xf>
    <xf numFmtId="164" fontId="5" fillId="0" borderId="0" xfId="1" applyFont="1" applyBorder="1" applyAlignment="1">
      <alignment horizontal="center"/>
    </xf>
    <xf numFmtId="164" fontId="6" fillId="0" borderId="4" xfId="0" applyNumberFormat="1" applyFont="1" applyBorder="1"/>
    <xf numFmtId="43" fontId="0" fillId="0" borderId="0" xfId="0" applyNumberFormat="1"/>
    <xf numFmtId="0" fontId="5" fillId="0" borderId="0" xfId="0" applyFont="1"/>
    <xf numFmtId="164" fontId="5" fillId="0" borderId="0" xfId="0" applyNumberFormat="1" applyFont="1"/>
    <xf numFmtId="43" fontId="6" fillId="0" borderId="0" xfId="0" applyNumberFormat="1" applyFont="1"/>
    <xf numFmtId="0" fontId="9" fillId="2" borderId="0" xfId="0" applyFont="1" applyFill="1"/>
    <xf numFmtId="0" fontId="10" fillId="0" borderId="0" xfId="0" applyFont="1" applyAlignment="1">
      <alignment horizontal="center"/>
    </xf>
    <xf numFmtId="43" fontId="5" fillId="0" borderId="0" xfId="0" applyNumberFormat="1" applyFont="1"/>
    <xf numFmtId="164" fontId="11" fillId="0" borderId="0" xfId="1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10" fillId="0" borderId="0" xfId="0" applyFont="1"/>
    <xf numFmtId="43" fontId="1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2%20-TRABALHOS\1%20-%20Licita&#231;&#245;es\1%20-%20PREGAO\2025\013-25%20-%20Transporte%20Escolar%20II\Anexo%20XI%20-%20Planilha%20de%20Custos.xlsx" TargetMode="External"/><Relationship Id="rId1" Type="http://schemas.openxmlformats.org/officeDocument/2006/relationships/externalLinkPath" Target="Anexo%20XI%20-%20Planilha%20de%20Cus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dos Veículos"/>
      <sheetName val="Dados dos Trajetos"/>
      <sheetName val="Dados dos Alunos"/>
      <sheetName val="Dados do Motorista"/>
      <sheetName val="Impostos (Simples)"/>
      <sheetName val="Custo por Aluno"/>
      <sheetName val="Retorno Investimento"/>
      <sheetName val="ANÁLISE"/>
      <sheetName val="Custo Fixo"/>
      <sheetName val="Mão de Obra"/>
      <sheetName val="Financeira"/>
      <sheetName val="Depreciação"/>
      <sheetName val="Seguro"/>
      <sheetName val="IPVA"/>
      <sheetName val="Administrativa"/>
      <sheetName val="Combustível "/>
      <sheetName val="Manutenção"/>
    </sheetNames>
    <sheetDataSet>
      <sheetData sheetId="0"/>
      <sheetData sheetId="1">
        <row r="7">
          <cell r="B7" t="str">
            <v>Trajeto 02 - Porteirinha - Meio-dia</v>
          </cell>
          <cell r="C7">
            <v>12.7</v>
          </cell>
        </row>
        <row r="14">
          <cell r="B14" t="str">
            <v>Trajeto 09 - São Francisco / Vila Segredo - T</v>
          </cell>
          <cell r="C14">
            <v>70</v>
          </cell>
        </row>
        <row r="21">
          <cell r="B21" t="str">
            <v>Trajeto 16 - Rio Telha/2ª Companhia/Porteirinha/Ipê - M - Meio-dia - T</v>
          </cell>
          <cell r="C21">
            <v>157.34</v>
          </cell>
        </row>
      </sheetData>
      <sheetData sheetId="2"/>
      <sheetData sheetId="3"/>
      <sheetData sheetId="4">
        <row r="7">
          <cell r="C7">
            <v>6</v>
          </cell>
        </row>
        <row r="14">
          <cell r="C14">
            <v>6</v>
          </cell>
        </row>
      </sheetData>
      <sheetData sheetId="5"/>
      <sheetData sheetId="6"/>
      <sheetData sheetId="7"/>
      <sheetData sheetId="8">
        <row r="24">
          <cell r="E24">
            <v>663.65075427555553</v>
          </cell>
        </row>
        <row r="31">
          <cell r="E31">
            <v>5450.8887355833349</v>
          </cell>
        </row>
        <row r="38">
          <cell r="E38">
            <v>9663.9998222322247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7">
          <cell r="G7">
            <v>301.10545454545451</v>
          </cell>
        </row>
        <row r="14">
          <cell r="G14">
            <v>1128.385416666667</v>
          </cell>
        </row>
        <row r="21">
          <cell r="G21">
            <v>2536.2880208333336</v>
          </cell>
        </row>
      </sheetData>
      <sheetData sheetId="16">
        <row r="7">
          <cell r="D7">
            <v>210.77381818181814</v>
          </cell>
        </row>
        <row r="14">
          <cell r="D14">
            <v>789.86979166666686</v>
          </cell>
        </row>
        <row r="21">
          <cell r="D21">
            <v>1775.4016145833334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7C712-DCA2-48D2-B781-513844E14A53}">
  <sheetPr>
    <pageSetUpPr fitToPage="1"/>
  </sheetPr>
  <dimension ref="A2:O30"/>
  <sheetViews>
    <sheetView tabSelected="1" zoomScale="120" zoomScaleNormal="120" workbookViewId="0">
      <selection activeCell="H28" sqref="H28"/>
    </sheetView>
  </sheetViews>
  <sheetFormatPr defaultRowHeight="12.75" x14ac:dyDescent="0.2"/>
  <cols>
    <col min="1" max="1" width="5.42578125" customWidth="1"/>
    <col min="2" max="2" width="42.5703125" customWidth="1"/>
    <col min="3" max="9" width="8.28515625" customWidth="1"/>
    <col min="10" max="10" width="9.42578125" customWidth="1"/>
    <col min="11" max="11" width="12.7109375" customWidth="1"/>
    <col min="12" max="12" width="9.7109375" bestFit="1" customWidth="1"/>
    <col min="13" max="13" width="18.42578125" hidden="1" customWidth="1"/>
    <col min="14" max="14" width="9.140625" hidden="1" customWidth="1"/>
    <col min="15" max="15" width="17.5703125" customWidth="1"/>
  </cols>
  <sheetData>
    <row r="2" spans="1:15" ht="20.25" customHeight="1" x14ac:dyDescent="0.2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4" spans="1:15" x14ac:dyDescent="0.2">
      <c r="A4" s="3" t="s">
        <v>1</v>
      </c>
      <c r="B4" s="4"/>
      <c r="C4" s="5">
        <v>20</v>
      </c>
    </row>
    <row r="6" spans="1:15" s="8" customFormat="1" ht="25.5" x14ac:dyDescent="0.2">
      <c r="A6" s="6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6" t="s">
        <v>8</v>
      </c>
      <c r="H6" s="7" t="s">
        <v>9</v>
      </c>
      <c r="I6" s="7" t="s">
        <v>10</v>
      </c>
      <c r="J6" s="6" t="s">
        <v>11</v>
      </c>
      <c r="K6" s="6" t="s">
        <v>12</v>
      </c>
      <c r="L6" s="7" t="s">
        <v>13</v>
      </c>
      <c r="O6" s="7" t="s">
        <v>14</v>
      </c>
    </row>
    <row r="7" spans="1:15" s="8" customFormat="1" x14ac:dyDescent="0.2">
      <c r="B7" s="9"/>
      <c r="C7" s="10"/>
      <c r="D7" s="10"/>
      <c r="E7" s="10"/>
      <c r="F7" s="10"/>
    </row>
    <row r="8" spans="1:15" s="8" customFormat="1" x14ac:dyDescent="0.2">
      <c r="A8" s="11">
        <v>1</v>
      </c>
      <c r="B8" s="12"/>
      <c r="C8" s="13"/>
      <c r="D8" s="13"/>
      <c r="E8" s="13"/>
      <c r="F8" s="14"/>
      <c r="G8" s="15"/>
      <c r="H8" s="16"/>
      <c r="I8" s="13"/>
      <c r="J8" s="13"/>
      <c r="K8" s="17"/>
      <c r="L8" s="15"/>
      <c r="M8" s="18">
        <f>ROUND((L8*205),2)</f>
        <v>0</v>
      </c>
      <c r="O8" s="19">
        <f>SUM(L8*205)</f>
        <v>0</v>
      </c>
    </row>
    <row r="9" spans="1:15" s="8" customFormat="1" x14ac:dyDescent="0.2">
      <c r="A9" s="11">
        <v>2</v>
      </c>
      <c r="B9" s="12" t="str">
        <f>'[1]Dados dos Trajetos'!B7</f>
        <v>Trajeto 02 - Porteirinha - Meio-dia</v>
      </c>
      <c r="C9" s="13">
        <f>+'[1]Custo Fixo'!E24+0</f>
        <v>663.65075427555553</v>
      </c>
      <c r="D9" s="13">
        <f>+'[1]Combustível '!G7+0</f>
        <v>301.10545454545451</v>
      </c>
      <c r="E9" s="13">
        <f>+[1]Manutenção!D7+0</f>
        <v>210.77381818181814</v>
      </c>
      <c r="F9" s="14">
        <f>+E9+D9+C9</f>
        <v>1175.5300270028283</v>
      </c>
      <c r="G9" s="15">
        <f>+'[1]Impostos (Simples)'!C7+0</f>
        <v>6</v>
      </c>
      <c r="H9" s="16">
        <v>27</v>
      </c>
      <c r="I9" s="13">
        <f>+H9/100*J9</f>
        <v>473.72105565785625</v>
      </c>
      <c r="J9" s="13">
        <f>+F9/(1-(G9+H9)/100)</f>
        <v>1754.5224283624304</v>
      </c>
      <c r="K9" s="17">
        <f>J9/'[1]Dados dos Trajetos'!C7/20</f>
        <v>6.9075686156001197</v>
      </c>
      <c r="L9" s="15">
        <f>ROUND((J9/20),2)</f>
        <v>87.73</v>
      </c>
      <c r="M9" s="18">
        <f t="shared" ref="M9:M22" si="0">ROUND((L9*205),2)</f>
        <v>17984.650000000001</v>
      </c>
      <c r="O9" s="19">
        <f>SUM(L9*210)</f>
        <v>18423.3</v>
      </c>
    </row>
    <row r="10" spans="1:15" s="8" customFormat="1" x14ac:dyDescent="0.2">
      <c r="A10" s="11">
        <v>3</v>
      </c>
      <c r="B10" s="12"/>
      <c r="C10" s="13"/>
      <c r="D10" s="13"/>
      <c r="E10" s="13"/>
      <c r="F10" s="14"/>
      <c r="G10" s="15"/>
      <c r="H10" s="16"/>
      <c r="I10" s="13"/>
      <c r="J10" s="13"/>
      <c r="K10" s="17"/>
      <c r="L10" s="15"/>
      <c r="M10" s="18">
        <f t="shared" si="0"/>
        <v>0</v>
      </c>
      <c r="O10" s="19">
        <f t="shared" ref="O10:O23" si="1">SUM(L10*210)</f>
        <v>0</v>
      </c>
    </row>
    <row r="11" spans="1:15" s="8" customFormat="1" x14ac:dyDescent="0.2">
      <c r="A11" s="11">
        <v>4</v>
      </c>
      <c r="B11" s="12"/>
      <c r="C11" s="13"/>
      <c r="D11" s="13"/>
      <c r="E11" s="13"/>
      <c r="F11" s="14"/>
      <c r="G11" s="15"/>
      <c r="H11" s="16"/>
      <c r="I11" s="13"/>
      <c r="J11" s="13"/>
      <c r="K11" s="17"/>
      <c r="L11" s="15"/>
      <c r="M11" s="18">
        <f t="shared" si="0"/>
        <v>0</v>
      </c>
      <c r="O11" s="19">
        <f t="shared" si="1"/>
        <v>0</v>
      </c>
    </row>
    <row r="12" spans="1:15" s="8" customFormat="1" x14ac:dyDescent="0.2">
      <c r="A12" s="11">
        <v>5</v>
      </c>
      <c r="B12" s="12"/>
      <c r="C12" s="13"/>
      <c r="D12" s="13"/>
      <c r="E12" s="13"/>
      <c r="F12" s="14"/>
      <c r="G12" s="15"/>
      <c r="H12" s="16"/>
      <c r="I12" s="13"/>
      <c r="J12" s="13"/>
      <c r="K12" s="17"/>
      <c r="L12" s="15"/>
      <c r="M12" s="18">
        <f t="shared" si="0"/>
        <v>0</v>
      </c>
      <c r="O12" s="19">
        <f t="shared" si="1"/>
        <v>0</v>
      </c>
    </row>
    <row r="13" spans="1:15" s="8" customFormat="1" ht="12" customHeight="1" x14ac:dyDescent="0.2">
      <c r="A13" s="11">
        <v>6</v>
      </c>
      <c r="B13" s="12"/>
      <c r="C13" s="13"/>
      <c r="D13" s="13"/>
      <c r="E13" s="13"/>
      <c r="F13" s="14"/>
      <c r="G13" s="15"/>
      <c r="H13" s="16"/>
      <c r="I13" s="13"/>
      <c r="J13" s="13"/>
      <c r="K13" s="17"/>
      <c r="L13" s="15"/>
      <c r="M13" s="18">
        <f t="shared" si="0"/>
        <v>0</v>
      </c>
      <c r="O13" s="19">
        <f t="shared" si="1"/>
        <v>0</v>
      </c>
    </row>
    <row r="14" spans="1:15" s="8" customFormat="1" ht="12" customHeight="1" x14ac:dyDescent="0.2">
      <c r="A14" s="11">
        <v>7</v>
      </c>
      <c r="B14" s="12"/>
      <c r="C14" s="13"/>
      <c r="D14" s="13"/>
      <c r="E14" s="13"/>
      <c r="F14" s="14"/>
      <c r="G14" s="15"/>
      <c r="H14" s="16"/>
      <c r="I14" s="13"/>
      <c r="J14" s="13"/>
      <c r="K14" s="17"/>
      <c r="L14" s="15"/>
      <c r="M14" s="18">
        <f t="shared" si="0"/>
        <v>0</v>
      </c>
      <c r="O14" s="19">
        <f t="shared" si="1"/>
        <v>0</v>
      </c>
    </row>
    <row r="15" spans="1:15" s="8" customFormat="1" x14ac:dyDescent="0.2">
      <c r="A15" s="11">
        <v>8</v>
      </c>
      <c r="B15" s="12"/>
      <c r="C15" s="13"/>
      <c r="D15" s="13"/>
      <c r="E15" s="13"/>
      <c r="F15" s="14"/>
      <c r="G15" s="15"/>
      <c r="H15" s="16"/>
      <c r="I15" s="13"/>
      <c r="J15" s="13"/>
      <c r="K15" s="17"/>
      <c r="L15" s="15"/>
      <c r="M15" s="18">
        <f t="shared" si="0"/>
        <v>0</v>
      </c>
      <c r="O15" s="19">
        <f t="shared" si="1"/>
        <v>0</v>
      </c>
    </row>
    <row r="16" spans="1:15" s="8" customFormat="1" x14ac:dyDescent="0.2">
      <c r="A16" s="11">
        <v>9</v>
      </c>
      <c r="B16" s="12" t="str">
        <f>'[1]Dados dos Trajetos'!B14</f>
        <v>Trajeto 09 - São Francisco / Vila Segredo - T</v>
      </c>
      <c r="C16" s="13">
        <f>+'[1]Custo Fixo'!E31+0</f>
        <v>5450.8887355833349</v>
      </c>
      <c r="D16" s="13">
        <f>+'[1]Combustível '!G14+0</f>
        <v>1128.385416666667</v>
      </c>
      <c r="E16" s="13">
        <f>+[1]Manutenção!D14+0</f>
        <v>789.86979166666686</v>
      </c>
      <c r="F16" s="14">
        <f>+E16+D16+C16</f>
        <v>7369.1439439166688</v>
      </c>
      <c r="G16" s="15">
        <f>+'[1]Impostos (Simples)'!C14+0</f>
        <v>6</v>
      </c>
      <c r="H16" s="16">
        <v>27</v>
      </c>
      <c r="I16" s="13">
        <f>+H16/100*J16</f>
        <v>2969.6550221753741</v>
      </c>
      <c r="J16" s="13">
        <f>+F16/(1-(G16+H16)/100)</f>
        <v>10998.722304353238</v>
      </c>
      <c r="K16" s="17">
        <f>J16/'[1]Dados dos Trajetos'!C14/20</f>
        <v>7.8562302173951695</v>
      </c>
      <c r="L16" s="15">
        <f>ROUND((J16/20),2)</f>
        <v>549.94000000000005</v>
      </c>
      <c r="M16" s="18">
        <f t="shared" si="0"/>
        <v>112737.7</v>
      </c>
      <c r="O16" s="19">
        <f t="shared" si="1"/>
        <v>115487.40000000001</v>
      </c>
    </row>
    <row r="17" spans="1:15" s="8" customFormat="1" x14ac:dyDescent="0.2">
      <c r="A17" s="11">
        <v>10</v>
      </c>
      <c r="B17" s="12"/>
      <c r="C17" s="13"/>
      <c r="D17" s="13"/>
      <c r="E17" s="13"/>
      <c r="F17" s="14"/>
      <c r="G17" s="15"/>
      <c r="H17" s="16"/>
      <c r="I17" s="13"/>
      <c r="J17" s="13"/>
      <c r="K17" s="17"/>
      <c r="L17" s="15"/>
      <c r="M17" s="18">
        <f t="shared" si="0"/>
        <v>0</v>
      </c>
      <c r="O17" s="19">
        <f t="shared" si="1"/>
        <v>0</v>
      </c>
    </row>
    <row r="18" spans="1:15" s="8" customFormat="1" x14ac:dyDescent="0.2">
      <c r="A18" s="11">
        <v>11</v>
      </c>
      <c r="B18" s="12"/>
      <c r="C18" s="13"/>
      <c r="D18" s="13"/>
      <c r="E18" s="13"/>
      <c r="F18" s="14"/>
      <c r="G18" s="15"/>
      <c r="H18" s="16"/>
      <c r="I18" s="13"/>
      <c r="J18" s="13"/>
      <c r="K18" s="17"/>
      <c r="L18" s="15"/>
      <c r="M18" s="18">
        <f t="shared" si="0"/>
        <v>0</v>
      </c>
      <c r="O18" s="19">
        <f t="shared" si="1"/>
        <v>0</v>
      </c>
    </row>
    <row r="19" spans="1:15" s="8" customFormat="1" x14ac:dyDescent="0.2">
      <c r="A19" s="11">
        <v>12</v>
      </c>
      <c r="B19" s="12"/>
      <c r="C19" s="13"/>
      <c r="D19" s="13"/>
      <c r="E19" s="13"/>
      <c r="F19" s="14"/>
      <c r="G19" s="15"/>
      <c r="H19" s="16"/>
      <c r="I19" s="13"/>
      <c r="J19" s="13"/>
      <c r="K19" s="17"/>
      <c r="L19" s="15"/>
      <c r="M19" s="18">
        <f t="shared" si="0"/>
        <v>0</v>
      </c>
      <c r="O19" s="19">
        <f t="shared" si="1"/>
        <v>0</v>
      </c>
    </row>
    <row r="20" spans="1:15" s="8" customFormat="1" x14ac:dyDescent="0.2">
      <c r="A20" s="11">
        <v>13</v>
      </c>
      <c r="B20" s="12"/>
      <c r="C20" s="13"/>
      <c r="D20" s="13"/>
      <c r="E20" s="13"/>
      <c r="F20" s="14"/>
      <c r="G20" s="15"/>
      <c r="H20" s="16"/>
      <c r="I20" s="13"/>
      <c r="J20" s="13"/>
      <c r="K20" s="17"/>
      <c r="L20" s="15"/>
      <c r="M20" s="18">
        <f t="shared" si="0"/>
        <v>0</v>
      </c>
      <c r="O20" s="19">
        <f t="shared" si="1"/>
        <v>0</v>
      </c>
    </row>
    <row r="21" spans="1:15" s="8" customFormat="1" x14ac:dyDescent="0.2">
      <c r="A21" s="11">
        <v>14</v>
      </c>
      <c r="B21" s="12"/>
      <c r="C21" s="13"/>
      <c r="D21" s="13"/>
      <c r="E21" s="13"/>
      <c r="F21" s="14"/>
      <c r="G21" s="15"/>
      <c r="H21" s="16"/>
      <c r="I21" s="13"/>
      <c r="J21" s="13"/>
      <c r="K21" s="17"/>
      <c r="L21" s="15"/>
      <c r="M21" s="18">
        <f t="shared" si="0"/>
        <v>0</v>
      </c>
      <c r="O21" s="19">
        <f t="shared" si="1"/>
        <v>0</v>
      </c>
    </row>
    <row r="22" spans="1:15" s="8" customFormat="1" x14ac:dyDescent="0.2">
      <c r="A22" s="11">
        <v>15</v>
      </c>
      <c r="B22" s="12"/>
      <c r="C22" s="13"/>
      <c r="D22" s="13"/>
      <c r="E22" s="13"/>
      <c r="F22" s="14"/>
      <c r="G22" s="15"/>
      <c r="H22" s="16"/>
      <c r="I22" s="13"/>
      <c r="J22" s="13"/>
      <c r="K22" s="17"/>
      <c r="L22" s="15"/>
      <c r="M22" s="18">
        <f t="shared" si="0"/>
        <v>0</v>
      </c>
      <c r="O22" s="19">
        <f t="shared" si="1"/>
        <v>0</v>
      </c>
    </row>
    <row r="23" spans="1:15" s="8" customFormat="1" ht="24" x14ac:dyDescent="0.2">
      <c r="A23" s="11">
        <v>16</v>
      </c>
      <c r="B23" s="20" t="str">
        <f>'[1]Dados dos Trajetos'!B21</f>
        <v>Trajeto 16 - Rio Telha/2ª Companhia/Porteirinha/Ipê - M - Meio-dia - T</v>
      </c>
      <c r="C23" s="13">
        <f>+'[1]Custo Fixo'!E38+0</f>
        <v>9663.9998222322247</v>
      </c>
      <c r="D23" s="13">
        <f>+'[1]Combustível '!G21+0</f>
        <v>2536.2880208333336</v>
      </c>
      <c r="E23" s="13">
        <f>+[1]Manutenção!D21+0</f>
        <v>1775.4016145833334</v>
      </c>
      <c r="F23" s="14">
        <f>+E23+D23+C23</f>
        <v>13975.689457648892</v>
      </c>
      <c r="G23" s="15">
        <v>6</v>
      </c>
      <c r="H23" s="16">
        <v>7</v>
      </c>
      <c r="I23" s="13">
        <f>+H23/100*J23</f>
        <v>1124.4807609602558</v>
      </c>
      <c r="J23" s="13">
        <f>+F23/(1-(G23+H23)/100)</f>
        <v>16064.010870860795</v>
      </c>
      <c r="K23" s="17">
        <f>J23/'[1]Dados dos Trajetos'!C21/20</f>
        <v>5.1048718923543905</v>
      </c>
      <c r="L23" s="15">
        <f>ROUND((J23/20),2)</f>
        <v>803.2</v>
      </c>
      <c r="M23" s="18">
        <f>L23*205</f>
        <v>164656</v>
      </c>
      <c r="O23" s="19">
        <f t="shared" si="1"/>
        <v>168672</v>
      </c>
    </row>
    <row r="24" spans="1:15" x14ac:dyDescent="0.2">
      <c r="A24" s="21"/>
      <c r="B24" s="22"/>
      <c r="C24" s="23"/>
      <c r="D24" s="24"/>
      <c r="E24" s="24"/>
      <c r="F24" s="25"/>
      <c r="G24" s="26"/>
      <c r="H24" s="27"/>
      <c r="I24" s="24"/>
      <c r="J24" s="28"/>
      <c r="K24" s="28"/>
      <c r="L24" s="29">
        <f>SUM(L9:L23)</f>
        <v>1440.8700000000001</v>
      </c>
      <c r="M24" s="18">
        <f>SUM(M8:M23)</f>
        <v>295378.34999999998</v>
      </c>
      <c r="O24" s="30"/>
    </row>
    <row r="25" spans="1:15" x14ac:dyDescent="0.2">
      <c r="A25" s="21"/>
      <c r="C25" s="9"/>
      <c r="D25" s="31"/>
      <c r="E25" s="31"/>
      <c r="F25" s="31"/>
      <c r="G25" s="31"/>
      <c r="H25" s="31"/>
      <c r="I25" s="31"/>
      <c r="J25" s="24" t="s">
        <v>15</v>
      </c>
      <c r="K25" s="32">
        <f>SUM(J8:J23)</f>
        <v>28817.255603576465</v>
      </c>
      <c r="L25" s="33"/>
      <c r="M25" s="34"/>
    </row>
    <row r="26" spans="1:15" x14ac:dyDescent="0.2">
      <c r="A26" s="21"/>
      <c r="C26" s="9"/>
      <c r="D26" s="35" t="s">
        <v>16</v>
      </c>
      <c r="E26" s="35"/>
      <c r="F26" s="35"/>
      <c r="G26" s="35"/>
      <c r="H26" s="35"/>
      <c r="I26" s="35"/>
      <c r="J26" s="35"/>
      <c r="K26" s="36">
        <f>SUM(L24*210)</f>
        <v>302582.7</v>
      </c>
    </row>
    <row r="27" spans="1:15" ht="15" x14ac:dyDescent="0.35">
      <c r="E27" s="8"/>
      <c r="F27" s="8"/>
      <c r="G27" s="8"/>
      <c r="H27" s="8"/>
      <c r="I27" s="23"/>
      <c r="J27" s="37"/>
      <c r="K27" s="37"/>
    </row>
    <row r="28" spans="1:15" ht="59.25" customHeight="1" x14ac:dyDescent="0.35">
      <c r="B28" s="38"/>
      <c r="C28" s="38"/>
      <c r="D28" s="38"/>
      <c r="E28" s="38"/>
      <c r="F28" s="38"/>
      <c r="G28" s="38"/>
      <c r="H28" s="39"/>
      <c r="I28" s="39"/>
      <c r="J28" s="40"/>
      <c r="K28" s="40"/>
      <c r="L28" s="41"/>
      <c r="M28" s="41"/>
    </row>
    <row r="30" spans="1:15" x14ac:dyDescent="0.2">
      <c r="E30" s="8"/>
    </row>
  </sheetData>
  <mergeCells count="8">
    <mergeCell ref="A2:L2"/>
    <mergeCell ref="A4:B4"/>
    <mergeCell ref="J24:K24"/>
    <mergeCell ref="D26:J26"/>
    <mergeCell ref="J27:K27"/>
    <mergeCell ref="B28:G28"/>
    <mergeCell ref="J28:K28"/>
    <mergeCell ref="L28:M28"/>
  </mergeCells>
  <printOptions gridLines="1"/>
  <pageMargins left="0.7" right="0.7" top="0.75" bottom="0.75" header="0.3" footer="0.3"/>
  <pageSetup paperSize="9" scale="7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ANÁLISE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Daniela</cp:lastModifiedBy>
  <dcterms:created xsi:type="dcterms:W3CDTF">2025-07-23T13:35:09Z</dcterms:created>
  <dcterms:modified xsi:type="dcterms:W3CDTF">2025-07-23T13:35:37Z</dcterms:modified>
</cp:coreProperties>
</file>